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Sheet1" sheetId="1" r:id="rId1"/>
  </sheets>
  <definedNames>
    <definedName name="_xlnm.Print_Area" localSheetId="0">Sheet1!$A$1:$L$49</definedName>
  </definedNames>
  <calcPr calcId="144525"/>
</workbook>
</file>

<file path=xl/comments1.xml><?xml version="1.0" encoding="utf-8"?>
<comments xmlns="http://schemas.openxmlformats.org/spreadsheetml/2006/main">
  <authors>
    <author>2</author>
    <author>张斌</author>
  </authors>
  <commentList>
    <comment ref="E7" authorId="0">
      <text>
        <r>
          <rPr>
            <sz val="10"/>
            <rFont val="宋体"/>
            <charset val="134"/>
          </rPr>
          <t xml:space="preserve">一棵大白菜: 优秀经办人 9612333.com ：
个体工商户 0.12 企业 0.16
</t>
        </r>
      </text>
    </comment>
    <comment ref="D13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时间：2024-07-24 16:42 来源：长春市住房公积金管理中心</t>
        </r>
      </text>
    </comment>
    <comment ref="B17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个体户执行 12%
企业 16%</t>
        </r>
      </text>
    </comment>
    <comment ref="F17" authorId="1">
      <text>
        <r>
          <rPr>
            <b/>
            <sz val="9"/>
            <rFont val="宋体"/>
            <charset val="134"/>
          </rPr>
          <t>张斌:</t>
        </r>
        <r>
          <rPr>
            <sz val="9"/>
            <rFont val="宋体"/>
            <charset val="134"/>
          </rPr>
          <t xml:space="preserve">
（行业费率缴费）</t>
        </r>
      </text>
    </comment>
  </commentList>
</comments>
</file>

<file path=xl/sharedStrings.xml><?xml version="1.0" encoding="utf-8"?>
<sst xmlns="http://schemas.openxmlformats.org/spreadsheetml/2006/main" count="86">
  <si>
    <r>
      <t xml:space="preserve">2025-7 至 2026-6 </t>
    </r>
    <r>
      <rPr>
        <b/>
        <sz val="11"/>
        <color rgb="FFFF0000"/>
        <rFont val="微软雅黑"/>
        <charset val="134"/>
      </rPr>
      <t>(此表公式率90% 此表仅限共色背景区域可编辑，粉丝请联系我索取密码)</t>
    </r>
    <r>
      <rPr>
        <b/>
        <sz val="22"/>
        <color rgb="FF000000"/>
        <rFont val="微软雅黑"/>
        <charset val="134"/>
      </rPr>
      <t xml:space="preserve">
长春五险一金基数及比例、政策、说明表2025-09-22更新（第一版）</t>
    </r>
  </si>
  <si>
    <t>五险一金险种</t>
  </si>
  <si>
    <t>缴费基数</t>
  </si>
  <si>
    <t>单位缴纳比例</t>
  </si>
  <si>
    <t>单位缴纳金额</t>
  </si>
  <si>
    <t>个人缴纳比例</t>
  </si>
  <si>
    <t>个人缴纳金额</t>
  </si>
  <si>
    <t>下限</t>
  </si>
  <si>
    <t>上限</t>
  </si>
  <si>
    <r>
      <rPr>
        <b/>
        <sz val="14"/>
        <color indexed="8"/>
        <rFont val="微软雅黑"/>
        <charset val="134"/>
      </rPr>
      <t xml:space="preserve">社会保险
</t>
    </r>
    <r>
      <rPr>
        <b/>
        <sz val="8"/>
        <color indexed="8"/>
        <rFont val="微软雅黑"/>
        <charset val="134"/>
      </rPr>
      <t>（</t>
    </r>
    <r>
      <rPr>
        <b/>
        <sz val="8"/>
        <color indexed="10"/>
        <rFont val="微软雅黑"/>
        <charset val="134"/>
      </rPr>
      <t>失业险不分农户</t>
    </r>
    <r>
      <rPr>
        <b/>
        <sz val="8"/>
        <color indexed="8"/>
        <rFont val="微软雅黑"/>
        <charset val="134"/>
      </rPr>
      <t>）</t>
    </r>
  </si>
  <si>
    <t>养老保险</t>
  </si>
  <si>
    <t>失业保险</t>
  </si>
  <si>
    <t>工伤保险</t>
  </si>
  <si>
    <t>2025年全省（不含长春市、农垦企业）城镇职工基本养老金计发基数为87865元/年</t>
  </si>
  <si>
    <t>医疗保险</t>
  </si>
  <si>
    <t>个人进账</t>
  </si>
  <si>
    <t>大病</t>
  </si>
  <si>
    <t>新参保当月缴纳100元大病</t>
  </si>
  <si>
    <t>住房公积金</t>
  </si>
  <si>
    <r>
      <rPr>
        <b/>
        <sz val="11"/>
        <color theme="1"/>
        <rFont val="微软雅黑"/>
        <charset val="134"/>
      </rPr>
      <t>合计缴费约</t>
    </r>
    <r>
      <rPr>
        <b/>
        <sz val="6"/>
        <color indexed="8"/>
        <rFont val="微软雅黑"/>
        <charset val="134"/>
      </rPr>
      <t>（四舍五入）</t>
    </r>
  </si>
  <si>
    <t>因工伤行业费率此表按0.0035计算，请根据单位实际费率计算。</t>
  </si>
  <si>
    <t>五险缴费台账</t>
  </si>
  <si>
    <r>
      <rPr>
        <sz val="11"/>
        <color indexed="9"/>
        <rFont val="微软雅黑"/>
        <charset val="134"/>
      </rPr>
      <t>单位缴纳</t>
    </r>
    <r>
      <rPr>
        <b/>
        <sz val="11"/>
        <color rgb="FFFFFFFF"/>
        <rFont val="微软雅黑"/>
        <charset val="134"/>
      </rPr>
      <t>养老</t>
    </r>
  </si>
  <si>
    <r>
      <rPr>
        <sz val="11"/>
        <color indexed="9"/>
        <rFont val="微软雅黑"/>
        <charset val="134"/>
      </rPr>
      <t>个人缴纳</t>
    </r>
    <r>
      <rPr>
        <b/>
        <sz val="11"/>
        <color rgb="FFFFFFFF"/>
        <rFont val="微软雅黑"/>
        <charset val="134"/>
      </rPr>
      <t>养老</t>
    </r>
  </si>
  <si>
    <r>
      <rPr>
        <sz val="11"/>
        <color indexed="9"/>
        <rFont val="微软雅黑"/>
        <charset val="134"/>
      </rPr>
      <t>单位缴纳</t>
    </r>
    <r>
      <rPr>
        <b/>
        <sz val="11"/>
        <color rgb="FFFFFFFF"/>
        <rFont val="微软雅黑"/>
        <charset val="134"/>
      </rPr>
      <t>失业</t>
    </r>
  </si>
  <si>
    <r>
      <rPr>
        <sz val="11"/>
        <color indexed="9"/>
        <rFont val="微软雅黑"/>
        <charset val="134"/>
      </rPr>
      <t>个人缴纳</t>
    </r>
    <r>
      <rPr>
        <b/>
        <sz val="11"/>
        <color rgb="FFFFFFFF"/>
        <rFont val="微软雅黑"/>
        <charset val="134"/>
      </rPr>
      <t>失业</t>
    </r>
  </si>
  <si>
    <t>工伤</t>
  </si>
  <si>
    <t>医保公司缴纳</t>
  </si>
  <si>
    <t>医保个人缴费</t>
  </si>
  <si>
    <t>个人医保账户进账</t>
  </si>
  <si>
    <t>五险个人承担</t>
  </si>
  <si>
    <t>五险公司承担</t>
  </si>
  <si>
    <t>税务缴费</t>
  </si>
  <si>
    <t>缴费基数(最高-最低)</t>
  </si>
  <si>
    <t>合计缴费</t>
  </si>
  <si>
    <r>
      <rPr>
        <sz val="11"/>
        <color theme="1"/>
        <rFont val="微软雅黑"/>
        <charset val="134"/>
      </rPr>
      <t>修改</t>
    </r>
    <r>
      <rPr>
        <b/>
        <sz val="11"/>
        <color rgb="FFFF0000"/>
        <rFont val="微软雅黑"/>
        <charset val="134"/>
      </rPr>
      <t>A21</t>
    </r>
    <r>
      <rPr>
        <sz val="11"/>
        <color theme="1"/>
        <rFont val="微软雅黑"/>
        <charset val="134"/>
      </rPr>
      <t>表位金额，缴费基数计算五险费率金额，已经设置上下限，低于4392.2执行4392.2，高于21966执行21966。其他数据公式请勿修改，表格变化可联系作者重新索取。</t>
    </r>
  </si>
  <si>
    <t>2024年7月至2025年6月灵活就业人员缴费分档</t>
  </si>
  <si>
    <t>2025年7月至2026年6月灵活就业人员缴费分档</t>
  </si>
  <si>
    <t>公积金</t>
  </si>
  <si>
    <t>单位缴费</t>
  </si>
  <si>
    <t>个人缴费</t>
  </si>
  <si>
    <t>档次</t>
  </si>
  <si>
    <t>基数</t>
  </si>
  <si>
    <t>月缴费金额</t>
  </si>
  <si>
    <t>年缴费金额</t>
  </si>
  <si>
    <t>一档(60%)</t>
  </si>
  <si>
    <t>二档(80%)</t>
  </si>
  <si>
    <t>三档(100%)</t>
  </si>
  <si>
    <t>四档(110%)</t>
  </si>
  <si>
    <t>五档(120%)</t>
  </si>
  <si>
    <t>六档(140%)</t>
  </si>
  <si>
    <t>社会平均工资</t>
  </si>
  <si>
    <t xml:space="preserve"> 非私营单位</t>
  </si>
  <si>
    <t xml:space="preserve">私营单位 </t>
  </si>
  <si>
    <t>全口径/基数</t>
  </si>
  <si>
    <t>七档(160%)</t>
  </si>
  <si>
    <t>吉林省</t>
  </si>
  <si>
    <t>八档(180%）</t>
  </si>
  <si>
    <t>九档(200%)</t>
  </si>
  <si>
    <t>十档(220%)</t>
  </si>
  <si>
    <t>十一档(240%)</t>
  </si>
  <si>
    <t>十二档(260%)</t>
  </si>
  <si>
    <t>十三档(280%)</t>
  </si>
  <si>
    <t>十四档(300%)</t>
  </si>
  <si>
    <t>扫码社保、医保制卡，补卡方式</t>
  </si>
  <si>
    <r>
      <rPr>
        <b/>
        <sz val="16"/>
        <color theme="1"/>
        <rFont val="微软雅黑"/>
        <charset val="134"/>
      </rPr>
      <t>2025年全省（不含长春市、农垦企业）城镇职工基本养老金计发基数为87865元/年</t>
    </r>
    <r>
      <rPr>
        <sz val="11"/>
        <color theme="1"/>
        <rFont val="微软雅黑"/>
        <charset val="134"/>
      </rPr>
      <t xml:space="preserve">
http://xxgk.jl.gov.cn/zcbm/fgw_97992/xxgkmlqy/202509/t20250922_9324837.html
2025年7月1日至2026年6月30日，职工基本养老保险职工个人缴费基数上限为21966元/月，下限为4393.2元/月。个体参保人员可在上、下限范围内选择适当的缴费基数。</t>
    </r>
  </si>
  <si>
    <t>计算公式：
87865/12×0.6=4393.2</t>
  </si>
  <si>
    <r>
      <rPr>
        <b/>
        <sz val="16"/>
        <color theme="1"/>
        <rFont val="微软雅黑"/>
        <charset val="134"/>
      </rPr>
      <t xml:space="preserve">吉林省2023年城镇单位就业人员年平均工资情况（非私营单位、私营单位）
</t>
    </r>
    <r>
      <rPr>
        <sz val="11"/>
        <color theme="1"/>
        <rFont val="微软雅黑"/>
        <charset val="134"/>
      </rPr>
      <t>http://tjj.jl.gov.cn/tjsj/qwfb/202407/t20240723_3264965.html
2023年全省城镇非私营单位就业人员年平均工资为94937元，2023年全省城镇私营单位就业人员年平均工资为51214元。</t>
    </r>
  </si>
  <si>
    <t>94937/12=7911.42
51214/12=4267.83</t>
  </si>
  <si>
    <r>
      <rPr>
        <b/>
        <sz val="16"/>
        <color theme="1"/>
        <rFont val="微软雅黑"/>
        <charset val="134"/>
      </rPr>
      <t>全省最低工资标准调整方案</t>
    </r>
    <r>
      <rPr>
        <sz val="10"/>
        <color theme="1"/>
        <rFont val="微软雅黑"/>
        <charset val="134"/>
      </rPr>
      <t>（ 成文日期： 2024年08月20日）</t>
    </r>
    <r>
      <rPr>
        <sz val="11"/>
        <color theme="1"/>
        <rFont val="微软雅黑"/>
        <charset val="134"/>
      </rPr>
      <t xml:space="preserve">
http://xxgk.jl.gov.cn/szf/gkml/202408/t20240822_8966721.html
长春市区（含九台区、双阳区）月最低工资标准为2120元/月，非全日制用工最低工资标准为21元／小时；</t>
    </r>
  </si>
  <si>
    <t>8小时工作制：21*8=168元</t>
  </si>
  <si>
    <r>
      <rPr>
        <b/>
        <sz val="16"/>
        <color theme="1"/>
        <rFont val="微软雅黑"/>
        <charset val="134"/>
      </rPr>
      <t>关于对长春市住房公积金缴存基数下限进行调整的通知</t>
    </r>
    <r>
      <rPr>
        <sz val="10"/>
        <color theme="1"/>
        <rFont val="微软雅黑"/>
        <charset val="134"/>
      </rPr>
      <t xml:space="preserve">
长春市区（含九台区、双阳区）职工住房公积金的缴存基数下限为我市公布的最低工资标准2120元，榆树市、德惠市、农安县、公主岭市职工住房公积金缴存基数下限为1780元。
http://zfgjj.changchun.gov.cn/shouye/tzgg/202412/t20241231_3371903.html</t>
    </r>
  </si>
  <si>
    <t xml:space="preserve">发布时间：2024-12-31 15:29 </t>
  </si>
  <si>
    <t>吉林省社保/医保增员与减员操作指南（个人意见）</t>
  </si>
  <si>
    <t>五险一金计算器网页版</t>
  </si>
  <si>
    <t>技能补贴查询</t>
  </si>
  <si>
    <t xml:space="preserve">社保补缴计算器 </t>
  </si>
  <si>
    <t>失业保险金计算</t>
  </si>
  <si>
    <t>生育津贴计算器</t>
  </si>
  <si>
    <t>医疗保险补缴计算器</t>
  </si>
  <si>
    <t>常用业务 通讯录</t>
  </si>
  <si>
    <t>医保缴费计算</t>
  </si>
  <si>
    <t>延迟退休计算器</t>
  </si>
  <si>
    <t>养老金测算工具</t>
  </si>
  <si>
    <t>经济补偿金计算器</t>
  </si>
  <si>
    <t>http://ccxb.net/?id=280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</si>
</sst>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&lt;=1880]\ &quot;1880&quot;;General"/>
    <numFmt numFmtId="177" formatCode="0.00_);[Red]\(0.00\)"/>
    <numFmt numFmtId="178" formatCode="0.00_ "/>
    <numFmt numFmtId="179" formatCode="0.0_ "/>
    <numFmt numFmtId="180" formatCode="0_ "/>
    <numFmt numFmtId="181" formatCode="0.000"/>
    <numFmt numFmtId="182" formatCode="0.000_ "/>
    <numFmt numFmtId="183" formatCode="0.0%"/>
    <numFmt numFmtId="184" formatCode="0.0"/>
  </numFmts>
  <fonts count="56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8"/>
      <color rgb="FF000000"/>
      <name val="微软雅黑"/>
      <charset val="134"/>
    </font>
    <font>
      <b/>
      <sz val="22"/>
      <color rgb="FF00000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8"/>
      <color rgb="FF0066CC"/>
      <name val="微软雅黑"/>
      <charset val="134"/>
    </font>
    <font>
      <b/>
      <sz val="14"/>
      <color indexed="9"/>
      <name val="微软雅黑"/>
      <charset val="134"/>
    </font>
    <font>
      <sz val="11"/>
      <color indexed="9"/>
      <name val="微软雅黑"/>
      <charset val="134"/>
    </font>
    <font>
      <sz val="9"/>
      <name val="微软雅黑"/>
      <charset val="134"/>
    </font>
    <font>
      <sz val="12"/>
      <color rgb="FF3D3D3D"/>
      <name val="微软雅黑"/>
      <charset val="134"/>
    </font>
    <font>
      <sz val="11"/>
      <color theme="0" tint="-0.249977111117893"/>
      <name val="微软雅黑"/>
      <charset val="134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b/>
      <sz val="10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1"/>
      <color theme="0"/>
      <name val="微软雅黑"/>
      <charset val="134"/>
    </font>
    <font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8"/>
      <color indexed="8"/>
      <name val="微软雅黑"/>
      <charset val="134"/>
    </font>
    <font>
      <b/>
      <sz val="8"/>
      <color indexed="10"/>
      <name val="微软雅黑"/>
      <charset val="134"/>
    </font>
    <font>
      <b/>
      <sz val="6"/>
      <color indexed="8"/>
      <name val="微软雅黑"/>
      <charset val="134"/>
    </font>
    <font>
      <b/>
      <sz val="11"/>
      <color rgb="FFFFFFFF"/>
      <name val="微软雅黑"/>
      <charset val="134"/>
    </font>
  </fonts>
  <fills count="50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0499893185216834"/>
      </left>
      <right style="thin">
        <color theme="0" tint="-0.049989318521683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049989318521683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24" borderId="29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38" borderId="36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6" fillId="14" borderId="35" applyNumberFormat="0" applyAlignment="0" applyProtection="0">
      <alignment vertical="center"/>
    </xf>
    <xf numFmtId="0" fontId="42" fillId="14" borderId="29" applyNumberFormat="0" applyAlignment="0" applyProtection="0">
      <alignment vertical="center"/>
    </xf>
    <xf numFmtId="0" fontId="37" fillId="27" borderId="3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</cellStyleXfs>
  <cellXfs count="14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7" borderId="2" xfId="0" applyNumberFormat="1" applyFont="1" applyFill="1" applyBorder="1" applyAlignment="1">
      <alignment horizontal="center" vertical="center"/>
    </xf>
    <xf numFmtId="0" fontId="4" fillId="7" borderId="7" xfId="0" applyNumberFormat="1" applyFont="1" applyFill="1" applyBorder="1" applyAlignment="1">
      <alignment horizontal="center" vertical="center"/>
    </xf>
    <xf numFmtId="0" fontId="8" fillId="7" borderId="7" xfId="0" applyNumberFormat="1" applyFont="1" applyFill="1" applyBorder="1" applyAlignment="1">
      <alignment horizontal="center" vertical="center"/>
    </xf>
    <xf numFmtId="9" fontId="8" fillId="7" borderId="7" xfId="0" applyNumberFormat="1" applyFont="1" applyFill="1" applyBorder="1" applyAlignment="1">
      <alignment horizontal="center" vertical="center"/>
    </xf>
    <xf numFmtId="180" fontId="8" fillId="7" borderId="7" xfId="0" applyNumberFormat="1" applyFont="1" applyFill="1" applyBorder="1" applyAlignment="1">
      <alignment horizontal="center" vertical="center"/>
    </xf>
    <xf numFmtId="0" fontId="12" fillId="8" borderId="3" xfId="0" applyNumberFormat="1" applyFont="1" applyFill="1" applyBorder="1" applyAlignment="1">
      <alignment horizontal="center" vertical="center"/>
    </xf>
    <xf numFmtId="0" fontId="13" fillId="8" borderId="8" xfId="0" applyNumberFormat="1" applyFont="1" applyFill="1" applyBorder="1" applyAlignment="1">
      <alignment horizontal="center" vertical="center"/>
    </xf>
    <xf numFmtId="178" fontId="4" fillId="8" borderId="8" xfId="0" applyNumberFormat="1" applyFont="1" applyFill="1" applyBorder="1" applyAlignment="1">
      <alignment horizontal="center" vertical="center"/>
    </xf>
    <xf numFmtId="178" fontId="7" fillId="8" borderId="8" xfId="0" applyNumberFormat="1" applyFont="1" applyFill="1" applyBorder="1" applyAlignment="1">
      <alignment horizontal="center" vertical="center"/>
    </xf>
    <xf numFmtId="178" fontId="12" fillId="8" borderId="8" xfId="0" applyNumberFormat="1" applyFont="1" applyFill="1" applyBorder="1" applyAlignment="1">
      <alignment horizontal="center" vertical="center"/>
    </xf>
    <xf numFmtId="0" fontId="12" fillId="9" borderId="0" xfId="0" applyNumberFormat="1" applyFont="1" applyFill="1" applyBorder="1" applyAlignment="1">
      <alignment horizontal="center" vertical="center"/>
    </xf>
    <xf numFmtId="0" fontId="14" fillId="9" borderId="0" xfId="0" applyNumberFormat="1" applyFont="1" applyFill="1" applyBorder="1" applyAlignment="1">
      <alignment horizontal="center" vertical="center"/>
    </xf>
    <xf numFmtId="182" fontId="4" fillId="9" borderId="0" xfId="0" applyNumberFormat="1" applyFont="1" applyFill="1" applyBorder="1" applyAlignment="1">
      <alignment horizontal="center" vertical="center"/>
    </xf>
    <xf numFmtId="178" fontId="7" fillId="9" borderId="0" xfId="0" applyNumberFormat="1" applyFont="1" applyFill="1" applyBorder="1" applyAlignment="1">
      <alignment horizontal="center" vertical="center"/>
    </xf>
    <xf numFmtId="178" fontId="12" fillId="9" borderId="0" xfId="0" applyNumberFormat="1" applyFont="1" applyFill="1" applyBorder="1" applyAlignment="1">
      <alignment horizontal="center" vertical="center"/>
    </xf>
    <xf numFmtId="0" fontId="15" fillId="10" borderId="8" xfId="0" applyNumberFormat="1" applyFont="1" applyFill="1" applyBorder="1" applyAlignment="1" applyProtection="1">
      <alignment horizontal="center" vertical="center"/>
    </xf>
    <xf numFmtId="0" fontId="16" fillId="10" borderId="8" xfId="0" applyNumberFormat="1" applyFont="1" applyFill="1" applyBorder="1" applyAlignment="1" applyProtection="1">
      <alignment horizontal="center" vertical="center" wrapText="1"/>
    </xf>
    <xf numFmtId="0" fontId="16" fillId="11" borderId="8" xfId="0" applyNumberFormat="1" applyFont="1" applyFill="1" applyBorder="1" applyAlignment="1" applyProtection="1">
      <alignment horizontal="center" vertical="center"/>
    </xf>
    <xf numFmtId="0" fontId="16" fillId="10" borderId="8" xfId="0" applyNumberFormat="1" applyFont="1" applyFill="1" applyBorder="1" applyAlignment="1" applyProtection="1">
      <alignment horizontal="center" vertical="center"/>
    </xf>
    <xf numFmtId="0" fontId="15" fillId="12" borderId="8" xfId="0" applyNumberFormat="1" applyFont="1" applyFill="1" applyBorder="1" applyAlignment="1" applyProtection="1">
      <alignment horizontal="center" vertical="center"/>
    </xf>
    <xf numFmtId="0" fontId="16" fillId="13" borderId="8" xfId="0" applyNumberFormat="1" applyFont="1" applyFill="1" applyBorder="1" applyAlignment="1" applyProtection="1">
      <alignment horizontal="center" vertical="center"/>
    </xf>
    <xf numFmtId="0" fontId="17" fillId="14" borderId="8" xfId="0" applyNumberFormat="1" applyFont="1" applyFill="1" applyBorder="1" applyAlignment="1" applyProtection="1">
      <alignment horizontal="center" vertical="center"/>
    </xf>
    <xf numFmtId="9" fontId="9" fillId="4" borderId="8" xfId="0" applyNumberFormat="1" applyFont="1" applyFill="1" applyBorder="1" applyAlignment="1" applyProtection="1">
      <alignment horizontal="center" vertical="center" wrapText="1"/>
    </xf>
    <xf numFmtId="183" fontId="11" fillId="15" borderId="8" xfId="0" applyNumberFormat="1" applyFont="1" applyFill="1" applyBorder="1" applyAlignment="1" applyProtection="1">
      <alignment horizontal="center" vertical="center" wrapText="1"/>
    </xf>
    <xf numFmtId="183" fontId="11" fillId="16" borderId="8" xfId="0" applyNumberFormat="1" applyFont="1" applyFill="1" applyBorder="1" applyAlignment="1" applyProtection="1">
      <alignment horizontal="center" vertical="center" wrapText="1"/>
    </xf>
    <xf numFmtId="10" fontId="9" fillId="4" borderId="8" xfId="0" applyNumberFormat="1" applyFont="1" applyFill="1" applyBorder="1" applyAlignment="1" applyProtection="1">
      <alignment horizontal="center" vertical="center"/>
    </xf>
    <xf numFmtId="183" fontId="11" fillId="16" borderId="8" xfId="0" applyNumberFormat="1" applyFont="1" applyFill="1" applyBorder="1" applyAlignment="1" applyProtection="1">
      <alignment horizontal="center" vertical="center"/>
    </xf>
    <xf numFmtId="183" fontId="11" fillId="15" borderId="8" xfId="0" applyNumberFormat="1" applyFont="1" applyFill="1" applyBorder="1" applyAlignment="1" applyProtection="1">
      <alignment horizontal="center" vertical="center"/>
    </xf>
    <xf numFmtId="177" fontId="11" fillId="0" borderId="9" xfId="0" applyNumberFormat="1" applyFont="1" applyFill="1" applyBorder="1" applyAlignment="1" applyProtection="1">
      <alignment horizontal="center" vertical="center"/>
    </xf>
    <xf numFmtId="2" fontId="11" fillId="0" borderId="8" xfId="0" applyNumberFormat="1" applyFont="1" applyFill="1" applyBorder="1" applyAlignment="1" applyProtection="1">
      <alignment horizontal="center" vertical="center"/>
    </xf>
    <xf numFmtId="2" fontId="11" fillId="0" borderId="9" xfId="0" applyNumberFormat="1" applyFont="1" applyFill="1" applyBorder="1" applyAlignment="1" applyProtection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Fill="1" applyBorder="1" applyAlignment="1" applyProtection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Fill="1" applyBorder="1" applyAlignment="1" applyProtection="1">
      <alignment horizontal="center" vertical="center"/>
    </xf>
    <xf numFmtId="2" fontId="11" fillId="0" borderId="12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2" fontId="11" fillId="6" borderId="14" xfId="0" applyNumberFormat="1" applyFont="1" applyFill="1" applyBorder="1" applyAlignment="1" applyProtection="1">
      <alignment horizontal="center" vertical="center"/>
    </xf>
    <xf numFmtId="0" fontId="8" fillId="6" borderId="15" xfId="0" applyNumberFormat="1" applyFont="1" applyFill="1" applyBorder="1" applyAlignment="1">
      <alignment horizontal="center" vertical="center"/>
    </xf>
    <xf numFmtId="0" fontId="8" fillId="6" borderId="16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/>
    </xf>
    <xf numFmtId="184" fontId="8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/>
    </xf>
    <xf numFmtId="0" fontId="21" fillId="0" borderId="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/>
    </xf>
    <xf numFmtId="0" fontId="22" fillId="0" borderId="8" xfId="0" applyNumberFormat="1" applyFont="1" applyFill="1" applyBorder="1" applyAlignment="1">
      <alignment horizontal="left" vertical="center" wrapText="1"/>
    </xf>
    <xf numFmtId="0" fontId="23" fillId="0" borderId="0" xfId="10" applyAlignment="1">
      <alignment horizontal="center" vertical="center"/>
    </xf>
    <xf numFmtId="0" fontId="24" fillId="0" borderId="8" xfId="1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vertical="center" wrapText="1"/>
    </xf>
    <xf numFmtId="178" fontId="20" fillId="0" borderId="0" xfId="0" applyNumberFormat="1" applyFont="1" applyFill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8" fontId="8" fillId="0" borderId="20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>
      <alignment horizontal="center" vertical="center"/>
    </xf>
    <xf numFmtId="0" fontId="8" fillId="9" borderId="6" xfId="0" applyNumberFormat="1" applyFont="1" applyFill="1" applyBorder="1" applyAlignment="1">
      <alignment horizontal="center" vertical="center"/>
    </xf>
    <xf numFmtId="0" fontId="8" fillId="9" borderId="21" xfId="0" applyNumberFormat="1" applyFont="1" applyFill="1" applyBorder="1" applyAlignment="1">
      <alignment horizontal="center" vertical="center"/>
    </xf>
    <xf numFmtId="178" fontId="8" fillId="0" borderId="22" xfId="0" applyNumberFormat="1" applyFont="1" applyFill="1" applyBorder="1" applyAlignment="1">
      <alignment horizontal="center" vertical="center"/>
    </xf>
    <xf numFmtId="178" fontId="11" fillId="0" borderId="22" xfId="0" applyNumberFormat="1" applyFont="1" applyFill="1" applyBorder="1" applyAlignment="1">
      <alignment horizontal="center" vertical="center"/>
    </xf>
    <xf numFmtId="0" fontId="11" fillId="6" borderId="23" xfId="0" applyNumberFormat="1" applyFont="1" applyFill="1" applyBorder="1" applyAlignment="1">
      <alignment horizontal="center" vertical="center"/>
    </xf>
    <xf numFmtId="178" fontId="26" fillId="5" borderId="8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9" fontId="8" fillId="7" borderId="7" xfId="11" applyFont="1" applyFill="1" applyBorder="1" applyAlignment="1">
      <alignment horizontal="center" vertical="center"/>
    </xf>
    <xf numFmtId="9" fontId="8" fillId="7" borderId="20" xfId="1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8" fontId="12" fillId="8" borderId="2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7" fillId="17" borderId="8" xfId="0" applyNumberFormat="1" applyFont="1" applyFill="1" applyBorder="1" applyAlignment="1" applyProtection="1">
      <alignment horizontal="center" vertical="center"/>
    </xf>
    <xf numFmtId="0" fontId="27" fillId="17" borderId="24" xfId="0" applyNumberFormat="1" applyFont="1" applyFill="1" applyBorder="1" applyAlignment="1" applyProtection="1">
      <alignment horizontal="center" vertical="center"/>
    </xf>
    <xf numFmtId="10" fontId="11" fillId="18" borderId="8" xfId="0" applyNumberFormat="1" applyFont="1" applyFill="1" applyBorder="1" applyAlignment="1" applyProtection="1">
      <alignment horizontal="center" vertical="center"/>
    </xf>
    <xf numFmtId="183" fontId="11" fillId="16" borderId="24" xfId="0" applyNumberFormat="1" applyFont="1" applyFill="1" applyBorder="1" applyAlignment="1" applyProtection="1">
      <alignment horizontal="center" vertical="center" wrapText="1"/>
    </xf>
    <xf numFmtId="9" fontId="1" fillId="0" borderId="8" xfId="11" applyFont="1" applyBorder="1" applyAlignment="1">
      <alignment horizontal="center" vertical="center"/>
    </xf>
    <xf numFmtId="2" fontId="11" fillId="0" borderId="24" xfId="0" applyNumberFormat="1" applyFont="1" applyFill="1" applyBorder="1" applyAlignment="1" applyProtection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2" fontId="11" fillId="0" borderId="25" xfId="0" applyNumberFormat="1" applyFont="1" applyFill="1" applyBorder="1" applyAlignment="1" applyProtection="1">
      <alignment horizontal="center" vertical="center"/>
    </xf>
    <xf numFmtId="2" fontId="11" fillId="6" borderId="26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>
      <alignment vertical="center"/>
    </xf>
    <xf numFmtId="2" fontId="8" fillId="6" borderId="27" xfId="0" applyNumberFormat="1" applyFont="1" applyFill="1" applyBorder="1" applyAlignment="1">
      <alignment horizontal="center" vertical="center"/>
    </xf>
    <xf numFmtId="0" fontId="15" fillId="17" borderId="19" xfId="0" applyNumberFormat="1" applyFont="1" applyFill="1" applyBorder="1" applyAlignment="1" applyProtection="1">
      <alignment horizontal="center" vertical="center"/>
    </xf>
    <xf numFmtId="0" fontId="16" fillId="17" borderId="22" xfId="0" applyNumberFormat="1" applyFont="1" applyFill="1" applyBorder="1" applyAlignment="1" applyProtection="1">
      <alignment horizontal="center" vertical="center"/>
    </xf>
    <xf numFmtId="0" fontId="11" fillId="19" borderId="22" xfId="0" applyNumberFormat="1" applyFont="1" applyFill="1" applyBorder="1" applyAlignment="1" applyProtection="1">
      <alignment horizontal="center" vertical="center"/>
    </xf>
    <xf numFmtId="9" fontId="9" fillId="4" borderId="22" xfId="0" applyNumberFormat="1" applyFont="1" applyFill="1" applyBorder="1" applyAlignment="1" applyProtection="1">
      <alignment horizontal="center" vertical="center"/>
    </xf>
    <xf numFmtId="9" fontId="11" fillId="0" borderId="8" xfId="1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76" fontId="11" fillId="20" borderId="8" xfId="0" applyNumberFormat="1" applyFont="1" applyFill="1" applyBorder="1" applyAlignment="1" applyProtection="1">
      <alignment horizontal="center" vertical="center"/>
    </xf>
    <xf numFmtId="180" fontId="1" fillId="0" borderId="8" xfId="0" applyNumberFormat="1" applyFont="1" applyFill="1" applyBorder="1" applyAlignment="1" applyProtection="1">
      <alignment horizontal="center" vertical="center"/>
    </xf>
    <xf numFmtId="0" fontId="1" fillId="21" borderId="24" xfId="0" applyNumberFormat="1" applyFont="1" applyFill="1" applyBorder="1" applyAlignment="1" applyProtection="1">
      <alignment horizontal="center" vertical="center"/>
    </xf>
    <xf numFmtId="2" fontId="1" fillId="21" borderId="24" xfId="0" applyNumberFormat="1" applyFont="1" applyFill="1" applyBorder="1" applyAlignment="1" applyProtection="1">
      <alignment horizontal="center" vertical="center"/>
    </xf>
    <xf numFmtId="0" fontId="1" fillId="20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8" fillId="17" borderId="8" xfId="0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81" fontId="1" fillId="0" borderId="0" xfId="0" applyNumberFormat="1" applyFont="1" applyAlignment="1"/>
    <xf numFmtId="181" fontId="1" fillId="0" borderId="0" xfId="0" applyNumberFormat="1" applyFont="1" applyAlignment="1">
      <alignment vertical="center"/>
    </xf>
    <xf numFmtId="181" fontId="23" fillId="0" borderId="0" xfId="10" applyNumberForma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8" xfId="10" applyNumberFormat="1" applyFont="1" applyFill="1" applyBorder="1" applyAlignment="1">
      <alignment horizontal="center" vertical="center" wrapText="1"/>
    </xf>
    <xf numFmtId="0" fontId="30" fillId="0" borderId="24" xfId="10" applyNumberFormat="1" applyFont="1" applyFill="1" applyBorder="1" applyAlignment="1">
      <alignment horizontal="center" vertical="center" wrapText="1"/>
    </xf>
    <xf numFmtId="0" fontId="29" fillId="0" borderId="2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ccxb.net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123093</xdr:colOff>
      <xdr:row>0</xdr:row>
      <xdr:rowOff>267433</xdr:rowOff>
    </xdr:from>
    <xdr:to>
      <xdr:col>1</xdr:col>
      <xdr:colOff>1104900</xdr:colOff>
      <xdr:row>2</xdr:row>
      <xdr:rowOff>137014</xdr:rowOff>
    </xdr:to>
    <xdr:pic>
      <xdr:nvPicPr>
        <xdr:cNvPr id="1143" name="0" descr="0">
          <a:hlinkClick xmlns:r="http://schemas.openxmlformats.org/officeDocument/2006/relationships" r:id="rId1"/>
        </xdr:cNvPr>
        <xdr:cNvPicPr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555" y="267335"/>
          <a:ext cx="224917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678815</xdr:colOff>
      <xdr:row>0</xdr:row>
      <xdr:rowOff>100330</xdr:rowOff>
    </xdr:from>
    <xdr:to>
      <xdr:col>11</xdr:col>
      <xdr:colOff>532130</xdr:colOff>
      <xdr:row>3</xdr:row>
      <xdr:rowOff>224790</xdr:rowOff>
    </xdr:to>
    <xdr:pic>
      <xdr:nvPicPr>
        <xdr:cNvPr id="3" name="IM 2" descr="C:\Users\zhangbin\Desktop\wx_20250310162636.pngwx_20250310162636"/>
        <xdr:cNvPicPr/>
      </xdr:nvPicPr>
      <xdr:blipFill>
        <a:blip r:embed="rId3"/>
        <a:srcRect/>
        <a:stretch>
          <a:fillRect/>
        </a:stretch>
      </xdr:blipFill>
      <xdr:spPr>
        <a:xfrm>
          <a:off x="13347065" y="100330"/>
          <a:ext cx="1120140" cy="1118870"/>
        </a:xfrm>
        <a:prstGeom prst="rect">
          <a:avLst/>
        </a:prstGeom>
      </xdr:spPr>
    </xdr:pic>
    <xdr:clientData/>
  </xdr:twoCellAnchor>
  <xdr:twoCellAnchor editAs="oneCell">
    <xdr:from>
      <xdr:col>9</xdr:col>
      <xdr:colOff>157369</xdr:colOff>
      <xdr:row>32</xdr:row>
      <xdr:rowOff>117709</xdr:rowOff>
    </xdr:from>
    <xdr:to>
      <xdr:col>10</xdr:col>
      <xdr:colOff>1134717</xdr:colOff>
      <xdr:row>38</xdr:row>
      <xdr:rowOff>77028</xdr:rowOff>
    </xdr:to>
    <xdr:pic>
      <xdr:nvPicPr>
        <xdr:cNvPr id="5" name="图片 4" descr="生成的二维码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58270" y="11528425"/>
          <a:ext cx="2244090" cy="224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cxb.net/?id=320" TargetMode="External"/><Relationship Id="rId8" Type="http://schemas.openxmlformats.org/officeDocument/2006/relationships/hyperlink" Target="http://ccxb.net/?id=298" TargetMode="External"/><Relationship Id="rId7" Type="http://schemas.openxmlformats.org/officeDocument/2006/relationships/hyperlink" Target="http://ccxb.net/?id=350" TargetMode="External"/><Relationship Id="rId6" Type="http://schemas.openxmlformats.org/officeDocument/2006/relationships/hyperlink" Target="http://ccxb.net/?id=74" TargetMode="External"/><Relationship Id="rId5" Type="http://schemas.openxmlformats.org/officeDocument/2006/relationships/hyperlink" Target="http://ccxb.net/?id=280" TargetMode="External"/><Relationship Id="rId4" Type="http://schemas.openxmlformats.org/officeDocument/2006/relationships/vmlDrawing" Target="../drawings/vmlDrawing2.v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hyperlink" Target="http://ccxb.net/?id=397" TargetMode="External"/><Relationship Id="rId15" Type="http://schemas.openxmlformats.org/officeDocument/2006/relationships/hyperlink" Target="http://ccxb.net/x/bu.html" TargetMode="External"/><Relationship Id="rId14" Type="http://schemas.openxmlformats.org/officeDocument/2006/relationships/hyperlink" Target="http://ccxb.net/?id=209" TargetMode="External"/><Relationship Id="rId13" Type="http://schemas.openxmlformats.org/officeDocument/2006/relationships/hyperlink" Target="http://ccxb.net/?id=202" TargetMode="External"/><Relationship Id="rId12" Type="http://schemas.openxmlformats.org/officeDocument/2006/relationships/hyperlink" Target="http://ccxb.net/?id=291" TargetMode="External"/><Relationship Id="rId11" Type="http://schemas.openxmlformats.org/officeDocument/2006/relationships/hyperlink" Target="http://ccxb.net/?id=60" TargetMode="External"/><Relationship Id="rId10" Type="http://schemas.openxmlformats.org/officeDocument/2006/relationships/hyperlink" Target="http://ccxb.net/?id=322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5"/>
  <sheetViews>
    <sheetView tabSelected="1" view="pageBreakPreview" zoomScale="115" zoomScaleNormal="100" zoomScaleSheetLayoutView="115" topLeftCell="A16" workbookViewId="0">
      <selection activeCell="I7" sqref="I7:J7"/>
    </sheetView>
  </sheetViews>
  <sheetFormatPr defaultColWidth="9" defaultRowHeight="16.5"/>
  <cols>
    <col min="1" max="12" width="16.625" style="2" customWidth="1"/>
    <col min="13" max="16384" width="9" style="2"/>
  </cols>
  <sheetData>
    <row r="1" ht="26.1" customHeight="1" spans="1:12">
      <c r="A1" s="3"/>
      <c r="B1" s="4"/>
      <c r="C1" s="5" t="s">
        <v>0</v>
      </c>
      <c r="D1" s="6"/>
      <c r="E1" s="6"/>
      <c r="F1" s="6"/>
      <c r="G1" s="6"/>
      <c r="H1" s="6"/>
      <c r="I1" s="6"/>
      <c r="J1" s="6"/>
      <c r="K1" s="4"/>
      <c r="L1" s="4"/>
    </row>
    <row r="2" ht="26.1" customHeight="1" spans="1:12">
      <c r="A2" s="4"/>
      <c r="B2" s="4"/>
      <c r="C2" s="6"/>
      <c r="D2" s="6"/>
      <c r="E2" s="6"/>
      <c r="F2" s="6"/>
      <c r="G2" s="6"/>
      <c r="H2" s="6"/>
      <c r="I2" s="6"/>
      <c r="J2" s="6"/>
      <c r="K2" s="4"/>
      <c r="L2" s="4"/>
    </row>
    <row r="3" ht="26.1" customHeight="1" spans="1:12">
      <c r="A3" s="4"/>
      <c r="B3" s="4"/>
      <c r="C3" s="6"/>
      <c r="D3" s="6"/>
      <c r="E3" s="6"/>
      <c r="F3" s="6"/>
      <c r="G3" s="6"/>
      <c r="H3" s="6"/>
      <c r="I3" s="6"/>
      <c r="J3" s="6"/>
      <c r="K3" s="4"/>
      <c r="L3" s="4"/>
    </row>
    <row r="4" ht="26.1" customHeight="1" spans="1:12">
      <c r="A4" s="4"/>
      <c r="B4" s="4"/>
      <c r="C4" s="7"/>
      <c r="D4" s="7"/>
      <c r="E4" s="7"/>
      <c r="F4" s="7"/>
      <c r="G4" s="7"/>
      <c r="H4" s="7"/>
      <c r="I4" s="7"/>
      <c r="J4" s="7"/>
      <c r="K4" s="4"/>
      <c r="L4" s="4"/>
    </row>
    <row r="5" ht="30" customHeight="1" spans="1:12">
      <c r="A5" s="8" t="s">
        <v>1</v>
      </c>
      <c r="B5" s="8"/>
      <c r="C5" s="8" t="s">
        <v>2</v>
      </c>
      <c r="D5" s="8"/>
      <c r="E5" s="9" t="s">
        <v>3</v>
      </c>
      <c r="F5" s="9"/>
      <c r="G5" s="10" t="s">
        <v>4</v>
      </c>
      <c r="H5" s="10"/>
      <c r="I5" s="9" t="s">
        <v>5</v>
      </c>
      <c r="J5" s="9"/>
      <c r="K5" s="10" t="s">
        <v>6</v>
      </c>
      <c r="L5" s="90"/>
    </row>
    <row r="6" ht="30" customHeight="1" spans="1:12">
      <c r="A6" s="8"/>
      <c r="B6" s="8"/>
      <c r="C6" s="11" t="s">
        <v>7</v>
      </c>
      <c r="D6" s="11" t="s">
        <v>8</v>
      </c>
      <c r="E6" s="11" t="s">
        <v>7</v>
      </c>
      <c r="F6" s="11" t="s">
        <v>8</v>
      </c>
      <c r="G6" s="11" t="s">
        <v>7</v>
      </c>
      <c r="H6" s="11" t="s">
        <v>8</v>
      </c>
      <c r="I6" s="11" t="s">
        <v>7</v>
      </c>
      <c r="J6" s="11" t="s">
        <v>8</v>
      </c>
      <c r="K6" s="91" t="s">
        <v>7</v>
      </c>
      <c r="L6" s="92" t="s">
        <v>8</v>
      </c>
    </row>
    <row r="7" ht="30" customHeight="1" spans="1:12">
      <c r="A7" s="12" t="s">
        <v>9</v>
      </c>
      <c r="B7" s="13" t="s">
        <v>10</v>
      </c>
      <c r="C7" s="14">
        <f>TRUNC(87865/12*0.6,1)</f>
        <v>4393.2</v>
      </c>
      <c r="D7" s="15">
        <f>TRUNC(87865/12*3,2)</f>
        <v>21966.25</v>
      </c>
      <c r="E7" s="16">
        <v>0.16</v>
      </c>
      <c r="F7" s="16"/>
      <c r="G7" s="17">
        <f>C7*E7</f>
        <v>702.912</v>
      </c>
      <c r="H7" s="18">
        <f>E7*D7</f>
        <v>3514.6</v>
      </c>
      <c r="I7" s="18">
        <v>0.08</v>
      </c>
      <c r="J7" s="18"/>
      <c r="K7" s="20">
        <f>C7*I7</f>
        <v>351.456</v>
      </c>
      <c r="L7" s="93">
        <f>D7*I7</f>
        <v>1757.3</v>
      </c>
    </row>
    <row r="8" ht="30" customHeight="1" spans="1:12">
      <c r="A8" s="19"/>
      <c r="B8" s="13" t="s">
        <v>11</v>
      </c>
      <c r="C8" s="14">
        <f>TRUNC(87865/12*0.6,1)</f>
        <v>4393.2</v>
      </c>
      <c r="D8" s="15">
        <f>TRUNC(87865/12*3,2)</f>
        <v>21966.25</v>
      </c>
      <c r="E8" s="18">
        <v>0.007</v>
      </c>
      <c r="F8" s="18"/>
      <c r="G8" s="17">
        <f>C8*E8</f>
        <v>30.7524</v>
      </c>
      <c r="H8" s="17">
        <f>D8*E8</f>
        <v>153.76375</v>
      </c>
      <c r="I8" s="94">
        <v>0.003</v>
      </c>
      <c r="J8" s="94"/>
      <c r="K8" s="95">
        <f>C8*I8</f>
        <v>13.1796</v>
      </c>
      <c r="L8" s="96">
        <f>D8*I8</f>
        <v>65.89875</v>
      </c>
    </row>
    <row r="9" ht="30" customHeight="1" spans="1:12">
      <c r="A9" s="19"/>
      <c r="B9" s="13" t="s">
        <v>12</v>
      </c>
      <c r="C9" s="14">
        <f>TRUNC(87865/12*0.6,1)</f>
        <v>4393.2</v>
      </c>
      <c r="D9" s="15">
        <f>TRUNC(87865/12*3,2)</f>
        <v>21966.25</v>
      </c>
      <c r="E9" s="16">
        <v>0.0035</v>
      </c>
      <c r="F9" s="16"/>
      <c r="G9" s="17">
        <f>C9*E9</f>
        <v>15.3762</v>
      </c>
      <c r="H9" s="20">
        <f>D9*E9</f>
        <v>76.881875</v>
      </c>
      <c r="I9" s="97" t="s">
        <v>13</v>
      </c>
      <c r="J9" s="97"/>
      <c r="K9" s="97"/>
      <c r="L9" s="97"/>
    </row>
    <row r="10" ht="30" customHeight="1" spans="1:12">
      <c r="A10" s="19" t="s">
        <v>14</v>
      </c>
      <c r="B10" s="13" t="s">
        <v>14</v>
      </c>
      <c r="C10" s="14">
        <f>TRUNC(87865/12*0.6,1)</f>
        <v>4393.2</v>
      </c>
      <c r="D10" s="15">
        <f>TRUNC(87865/12*3,2)</f>
        <v>21966.25</v>
      </c>
      <c r="E10" s="18">
        <v>0.077</v>
      </c>
      <c r="F10" s="18"/>
      <c r="G10" s="17">
        <f>C10*E10</f>
        <v>338.2764</v>
      </c>
      <c r="H10" s="21">
        <f>D10*E10</f>
        <v>1691.40125</v>
      </c>
      <c r="I10" s="98">
        <v>0.02</v>
      </c>
      <c r="J10" s="99"/>
      <c r="K10" s="100">
        <f>C10*I10</f>
        <v>87.864</v>
      </c>
      <c r="L10" s="101">
        <f>D10*I10</f>
        <v>439.325</v>
      </c>
    </row>
    <row r="11" ht="30" customHeight="1" spans="1:12">
      <c r="A11" s="22"/>
      <c r="B11" s="23" t="s">
        <v>15</v>
      </c>
      <c r="C11" s="14">
        <f>TRUNC(87865/12*0.6,1)</f>
        <v>4393.2</v>
      </c>
      <c r="D11" s="15">
        <f>TRUNC(87865/12*3,2)</f>
        <v>21966.25</v>
      </c>
      <c r="E11" s="24">
        <v>0.019</v>
      </c>
      <c r="F11" s="25"/>
      <c r="G11" s="25"/>
      <c r="H11" s="25"/>
      <c r="I11" s="25"/>
      <c r="J11" s="102"/>
      <c r="K11" s="103">
        <f>E11*C11</f>
        <v>83.4708</v>
      </c>
      <c r="L11" s="103">
        <f>D11*E11</f>
        <v>417.35875</v>
      </c>
    </row>
    <row r="12" ht="30" customHeight="1" spans="1:12">
      <c r="A12" s="26"/>
      <c r="B12" s="8" t="s">
        <v>16</v>
      </c>
      <c r="C12" s="18" t="s">
        <v>17</v>
      </c>
      <c r="D12" s="18"/>
      <c r="E12" s="18"/>
      <c r="F12" s="18"/>
      <c r="G12" s="18"/>
      <c r="H12" s="18"/>
      <c r="I12" s="18"/>
      <c r="J12" s="104"/>
      <c r="K12" s="93">
        <v>100</v>
      </c>
      <c r="L12" s="93"/>
    </row>
    <row r="13" ht="30" customHeight="1" spans="1:12">
      <c r="A13" s="27" t="s">
        <v>18</v>
      </c>
      <c r="B13" s="28" t="s">
        <v>18</v>
      </c>
      <c r="C13" s="29">
        <v>2120</v>
      </c>
      <c r="D13" s="29">
        <v>27553</v>
      </c>
      <c r="E13" s="30">
        <v>0.07</v>
      </c>
      <c r="F13" s="30">
        <v>0.12</v>
      </c>
      <c r="G13" s="31">
        <f>C13*E13</f>
        <v>148.4</v>
      </c>
      <c r="H13" s="31">
        <f>D13*F13</f>
        <v>3306.36</v>
      </c>
      <c r="I13" s="105">
        <v>0.07</v>
      </c>
      <c r="J13" s="106">
        <v>0.12</v>
      </c>
      <c r="K13" s="107">
        <f>I13*C13</f>
        <v>148.4</v>
      </c>
      <c r="L13" s="107">
        <f>J13*D13</f>
        <v>3306.36</v>
      </c>
    </row>
    <row r="14" ht="30" customHeight="1" spans="1:12">
      <c r="A14" s="32" t="s">
        <v>19</v>
      </c>
      <c r="B14" s="33" t="s">
        <v>20</v>
      </c>
      <c r="C14" s="33"/>
      <c r="D14" s="33"/>
      <c r="E14" s="34">
        <f>E7+E8+E9+E10+E13</f>
        <v>0.3175</v>
      </c>
      <c r="F14" s="34">
        <f>E7+E8+E9+E10+F13</f>
        <v>0.3675</v>
      </c>
      <c r="G14" s="35">
        <f>G7+G8+G9+G10+G13</f>
        <v>1235.717</v>
      </c>
      <c r="H14" s="36">
        <f>H7+H8+H9+H10+H13</f>
        <v>8743.006875</v>
      </c>
      <c r="I14" s="36">
        <f>I7+I8+I10+I13</f>
        <v>0.173</v>
      </c>
      <c r="J14" s="108">
        <f>I7+I8+I10+J13</f>
        <v>0.223</v>
      </c>
      <c r="K14" s="35">
        <f>K7+K8+K10+K13</f>
        <v>600.8996</v>
      </c>
      <c r="L14" s="36">
        <f>L7+L8+L10+L13</f>
        <v>5568.88375</v>
      </c>
    </row>
    <row r="15" ht="15" customHeight="1" spans="1:12">
      <c r="A15" s="37"/>
      <c r="B15" s="38"/>
      <c r="C15" s="38"/>
      <c r="D15" s="38"/>
      <c r="E15" s="39"/>
      <c r="F15" s="39"/>
      <c r="G15" s="40"/>
      <c r="H15" s="41"/>
      <c r="I15" s="37"/>
      <c r="J15" s="37"/>
      <c r="K15" s="40"/>
      <c r="L15" s="41"/>
    </row>
    <row r="16" ht="30" customHeight="1" spans="1:12">
      <c r="A16" s="42" t="s">
        <v>21</v>
      </c>
      <c r="B16" s="43" t="s">
        <v>22</v>
      </c>
      <c r="C16" s="44" t="s">
        <v>23</v>
      </c>
      <c r="D16" s="45" t="s">
        <v>24</v>
      </c>
      <c r="E16" s="44" t="s">
        <v>25</v>
      </c>
      <c r="F16" s="46" t="s">
        <v>26</v>
      </c>
      <c r="G16" s="47" t="s">
        <v>27</v>
      </c>
      <c r="H16" s="44" t="s">
        <v>28</v>
      </c>
      <c r="I16" s="109" t="s">
        <v>29</v>
      </c>
      <c r="J16" s="110" t="s">
        <v>30</v>
      </c>
      <c r="K16" s="111" t="s">
        <v>31</v>
      </c>
      <c r="L16" s="109" t="s">
        <v>32</v>
      </c>
    </row>
    <row r="17" ht="30" customHeight="1" spans="1:12">
      <c r="A17" s="48" t="s">
        <v>33</v>
      </c>
      <c r="B17" s="49">
        <v>0.16</v>
      </c>
      <c r="C17" s="50">
        <v>0.08</v>
      </c>
      <c r="D17" s="51">
        <v>0.007</v>
      </c>
      <c r="E17" s="50">
        <v>0.003</v>
      </c>
      <c r="F17" s="52">
        <v>0.0035</v>
      </c>
      <c r="G17" s="53">
        <v>0.077</v>
      </c>
      <c r="H17" s="54">
        <v>0.02</v>
      </c>
      <c r="I17" s="112">
        <v>0.019</v>
      </c>
      <c r="J17" s="50">
        <f>H17+E17+C17</f>
        <v>0.103</v>
      </c>
      <c r="K17" s="113">
        <f>B17+D17+F17+G17</f>
        <v>0.2475</v>
      </c>
      <c r="L17" s="114">
        <f>K17+J17</f>
        <v>0.3505</v>
      </c>
    </row>
    <row r="18" ht="30" customHeight="1" spans="1:12">
      <c r="A18" s="55">
        <f>TRUNC(87865/12*0.6,1)</f>
        <v>4393.2</v>
      </c>
      <c r="B18" s="56">
        <f>A18*B17</f>
        <v>702.912</v>
      </c>
      <c r="C18" s="56">
        <f>A18*C17</f>
        <v>351.456</v>
      </c>
      <c r="D18" s="56">
        <f>A18*D17</f>
        <v>30.7524</v>
      </c>
      <c r="E18" s="56">
        <f>A18*E17</f>
        <v>13.1796</v>
      </c>
      <c r="F18" s="56">
        <f>A18*F17</f>
        <v>15.3762</v>
      </c>
      <c r="G18" s="57">
        <f>$A18*G17</f>
        <v>338.2764</v>
      </c>
      <c r="H18" s="57">
        <f>$A18*H17</f>
        <v>87.864</v>
      </c>
      <c r="I18" s="56">
        <f>A18*I17</f>
        <v>83.4708</v>
      </c>
      <c r="J18" s="56">
        <f>C18+E18+H18</f>
        <v>452.4996</v>
      </c>
      <c r="K18" s="115">
        <f>B18+D18+F18+G18</f>
        <v>1087.317</v>
      </c>
      <c r="L18" s="116">
        <f>K18+J18</f>
        <v>1539.8166</v>
      </c>
    </row>
    <row r="19" ht="29.1" customHeight="1" spans="1:12">
      <c r="A19" s="58">
        <f>TRUNC(87865/12*3,2)</f>
        <v>21966.25</v>
      </c>
      <c r="B19" s="59">
        <f t="shared" ref="B19:L19" si="0">$A19*B17</f>
        <v>3514.6</v>
      </c>
      <c r="C19" s="57">
        <f t="shared" si="0"/>
        <v>1757.3</v>
      </c>
      <c r="D19" s="57">
        <f t="shared" si="0"/>
        <v>153.76375</v>
      </c>
      <c r="E19" s="57">
        <f t="shared" si="0"/>
        <v>65.89875</v>
      </c>
      <c r="F19" s="57">
        <f t="shared" si="0"/>
        <v>76.881875</v>
      </c>
      <c r="G19" s="57">
        <f t="shared" si="0"/>
        <v>1691.40125</v>
      </c>
      <c r="H19" s="57">
        <f t="shared" si="0"/>
        <v>439.325</v>
      </c>
      <c r="I19" s="57">
        <f t="shared" si="0"/>
        <v>417.35875</v>
      </c>
      <c r="J19" s="57">
        <f t="shared" si="0"/>
        <v>2262.52375</v>
      </c>
      <c r="K19" s="57">
        <f t="shared" si="0"/>
        <v>5436.646875</v>
      </c>
      <c r="L19" s="57">
        <f t="shared" si="0"/>
        <v>7699.170625</v>
      </c>
    </row>
    <row r="20" ht="15" customHeight="1" spans="1:12">
      <c r="A20" s="60"/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117"/>
    </row>
    <row r="21" ht="30" customHeight="1" spans="1:14">
      <c r="A21" s="63">
        <v>5000</v>
      </c>
      <c r="B21" s="64">
        <f>ROUND(IF($A21*B17&lt;B18,B18,IF($A21*B17&gt;B19,B19,$A21*B17)),2)</f>
        <v>800</v>
      </c>
      <c r="C21" s="64">
        <f>ROUND(IF($A21*C17&lt;C18,C18,IF($A21*C17&gt;C19,C19,$A21*C17)),2)</f>
        <v>400</v>
      </c>
      <c r="D21" s="64">
        <f t="shared" ref="D21:I21" si="1">ROUND(IF($A21*D17&lt;D18,D18,IF($A21*D17&gt;D19,D19,$A21*D17)),2)</f>
        <v>35</v>
      </c>
      <c r="E21" s="64">
        <f t="shared" si="1"/>
        <v>15</v>
      </c>
      <c r="F21" s="64">
        <f t="shared" si="1"/>
        <v>17.5</v>
      </c>
      <c r="G21" s="64">
        <f>ROUND(IF($A21*G17&lt;G18,G18,IF($A21*G17&gt;G19,G19,$A21*G17)),2)</f>
        <v>385</v>
      </c>
      <c r="H21" s="64">
        <f>ROUND(IF($A21*H17&lt;H18,H18,IF($A21*H17&gt;H19,H19,$A21*H17)),2)</f>
        <v>100</v>
      </c>
      <c r="I21" s="64">
        <f t="shared" si="1"/>
        <v>95</v>
      </c>
      <c r="J21" s="64">
        <f>C21+E21+H21</f>
        <v>515</v>
      </c>
      <c r="K21" s="64">
        <f>B21+D21+F21+G21</f>
        <v>1237.5</v>
      </c>
      <c r="L21" s="118" t="s">
        <v>34</v>
      </c>
      <c r="N21" s="119"/>
    </row>
    <row r="22" ht="30" customHeight="1" spans="1:12">
      <c r="A22" s="65" t="s">
        <v>35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120">
        <f>SUM(J21:K21)</f>
        <v>1752.5</v>
      </c>
    </row>
    <row r="23" ht="15" customHeight="1" spans="1:1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ht="30" customHeight="1" spans="1:12">
      <c r="A24" s="68" t="s">
        <v>36</v>
      </c>
      <c r="B24" s="69"/>
      <c r="C24" s="69"/>
      <c r="D24" s="70"/>
      <c r="E24" s="71" t="s">
        <v>37</v>
      </c>
      <c r="F24" s="72"/>
      <c r="G24" s="72"/>
      <c r="H24" s="73"/>
      <c r="I24" s="121" t="s">
        <v>38</v>
      </c>
      <c r="J24" s="122" t="s">
        <v>39</v>
      </c>
      <c r="K24" s="122" t="s">
        <v>40</v>
      </c>
      <c r="L24" s="122" t="s">
        <v>34</v>
      </c>
    </row>
    <row r="25" s="1" customFormat="1" ht="30" customHeight="1" spans="1:15">
      <c r="A25" s="74" t="s">
        <v>41</v>
      </c>
      <c r="B25" s="74" t="s">
        <v>42</v>
      </c>
      <c r="C25" s="74" t="s">
        <v>43</v>
      </c>
      <c r="D25" s="74" t="s">
        <v>44</v>
      </c>
      <c r="E25" s="75" t="s">
        <v>41</v>
      </c>
      <c r="F25" s="75" t="s">
        <v>42</v>
      </c>
      <c r="G25" s="75" t="s">
        <v>43</v>
      </c>
      <c r="H25" s="75" t="s">
        <v>44</v>
      </c>
      <c r="I25" s="123" t="s">
        <v>2</v>
      </c>
      <c r="J25" s="124">
        <v>0.07</v>
      </c>
      <c r="K25" s="124">
        <v>0.12</v>
      </c>
      <c r="L25" s="125">
        <f>J25+K25</f>
        <v>0.19</v>
      </c>
      <c r="O25" s="126"/>
    </row>
    <row r="26" s="1" customFormat="1" ht="30" customHeight="1" spans="1:15">
      <c r="A26" s="74" t="s">
        <v>45</v>
      </c>
      <c r="B26" s="76">
        <f>86142/12*0.6</f>
        <v>4307.1</v>
      </c>
      <c r="C26" s="77">
        <f>B26*20%</f>
        <v>861.42</v>
      </c>
      <c r="D26" s="76">
        <v>10337.04</v>
      </c>
      <c r="E26" s="75" t="s">
        <v>45</v>
      </c>
      <c r="F26" s="78">
        <f>TRUNC(87865/12*0.6,1)</f>
        <v>4393.2</v>
      </c>
      <c r="G26" s="79">
        <f t="shared" ref="G26:G39" si="2">F26*20%</f>
        <v>878.64</v>
      </c>
      <c r="H26" s="80">
        <f>G26*12</f>
        <v>10543.68</v>
      </c>
      <c r="I26" s="127">
        <v>2120</v>
      </c>
      <c r="J26" s="128">
        <f>I26*$J$25</f>
        <v>148.4</v>
      </c>
      <c r="K26" s="128">
        <f>I26*$K$25</f>
        <v>254.4</v>
      </c>
      <c r="L26" s="129">
        <f>K26+J26</f>
        <v>402.8</v>
      </c>
      <c r="O26" s="126"/>
    </row>
    <row r="27" ht="30" customHeight="1" spans="1:16">
      <c r="A27" s="74" t="s">
        <v>46</v>
      </c>
      <c r="B27" s="76">
        <f>86142/12*0.8</f>
        <v>5742.8</v>
      </c>
      <c r="C27" s="77">
        <f t="shared" ref="C27:C39" si="3">B27*20%</f>
        <v>1148.56</v>
      </c>
      <c r="D27" s="77">
        <f>C27*12</f>
        <v>13782.72</v>
      </c>
      <c r="E27" s="75" t="s">
        <v>46</v>
      </c>
      <c r="F27" s="78">
        <f>TRUNC(87865/12*0.8,1)</f>
        <v>5857.6</v>
      </c>
      <c r="G27" s="79">
        <f t="shared" si="2"/>
        <v>1171.52</v>
      </c>
      <c r="H27" s="79">
        <f t="shared" ref="H27:H39" si="4">G27*12</f>
        <v>14058.24</v>
      </c>
      <c r="I27" s="127">
        <f>A18</f>
        <v>4393.2</v>
      </c>
      <c r="J27" s="128">
        <f t="shared" ref="J27:J30" si="5">I27*$J$25</f>
        <v>307.524</v>
      </c>
      <c r="K27" s="128">
        <f t="shared" ref="K27:K30" si="6">I27*$K$25</f>
        <v>527.184</v>
      </c>
      <c r="L27" s="130">
        <f>K27+J27</f>
        <v>834.708</v>
      </c>
      <c r="O27" s="126"/>
      <c r="P27" s="1"/>
    </row>
    <row r="28" s="1" customFormat="1" ht="30" customHeight="1" spans="1:15">
      <c r="A28" s="74" t="s">
        <v>47</v>
      </c>
      <c r="B28" s="76">
        <f>86142/12*1</f>
        <v>7178.5</v>
      </c>
      <c r="C28" s="77">
        <f t="shared" si="3"/>
        <v>1435.7</v>
      </c>
      <c r="D28" s="77">
        <f t="shared" ref="D28:D39" si="7">C28*12</f>
        <v>17228.4</v>
      </c>
      <c r="E28" s="75" t="s">
        <v>47</v>
      </c>
      <c r="F28" s="78">
        <f>TRUNC(87865/12*1,1)</f>
        <v>7322</v>
      </c>
      <c r="G28" s="79">
        <f t="shared" si="2"/>
        <v>1464.4</v>
      </c>
      <c r="H28" s="79">
        <f t="shared" si="4"/>
        <v>17572.8</v>
      </c>
      <c r="I28" s="127">
        <v>5000</v>
      </c>
      <c r="J28" s="128">
        <f t="shared" si="5"/>
        <v>350</v>
      </c>
      <c r="K28" s="128">
        <f t="shared" si="6"/>
        <v>600</v>
      </c>
      <c r="L28" s="129">
        <f>K28+J28</f>
        <v>950</v>
      </c>
      <c r="O28" s="126"/>
    </row>
    <row r="29" ht="30" customHeight="1" spans="1:16">
      <c r="A29" s="74" t="s">
        <v>48</v>
      </c>
      <c r="B29" s="76">
        <f>86142/12*1.1</f>
        <v>7896.35</v>
      </c>
      <c r="C29" s="77">
        <f t="shared" si="3"/>
        <v>1579.27</v>
      </c>
      <c r="D29" s="77">
        <f t="shared" si="7"/>
        <v>18951.24</v>
      </c>
      <c r="E29" s="75" t="s">
        <v>48</v>
      </c>
      <c r="F29" s="78">
        <f>TRUNC(87865/12*1.1,1)</f>
        <v>8054.2</v>
      </c>
      <c r="G29" s="79">
        <f t="shared" si="2"/>
        <v>1610.84</v>
      </c>
      <c r="H29" s="79">
        <f t="shared" si="4"/>
        <v>19330.08</v>
      </c>
      <c r="I29" s="131">
        <v>8000</v>
      </c>
      <c r="J29" s="128">
        <f t="shared" si="5"/>
        <v>560</v>
      </c>
      <c r="K29" s="128">
        <f t="shared" si="6"/>
        <v>960</v>
      </c>
      <c r="L29" s="129">
        <f t="shared" ref="L29:L30" si="8">K29+J29</f>
        <v>1520</v>
      </c>
      <c r="O29" s="126"/>
      <c r="P29" s="1"/>
    </row>
    <row r="30" s="1" customFormat="1" ht="30" customHeight="1" spans="1:15">
      <c r="A30" s="74" t="s">
        <v>49</v>
      </c>
      <c r="B30" s="76">
        <f>86142/12*1.2</f>
        <v>8614.2</v>
      </c>
      <c r="C30" s="77">
        <f t="shared" si="3"/>
        <v>1722.84</v>
      </c>
      <c r="D30" s="77">
        <f t="shared" si="7"/>
        <v>20674.08</v>
      </c>
      <c r="E30" s="75" t="s">
        <v>49</v>
      </c>
      <c r="F30" s="78">
        <f>TRUNC(87865/12*1.2,1)</f>
        <v>8786.5</v>
      </c>
      <c r="G30" s="79">
        <f t="shared" si="2"/>
        <v>1757.3</v>
      </c>
      <c r="H30" s="79">
        <f t="shared" si="4"/>
        <v>21087.6</v>
      </c>
      <c r="I30" s="132">
        <v>2600</v>
      </c>
      <c r="J30" s="128">
        <f t="shared" si="5"/>
        <v>182</v>
      </c>
      <c r="K30" s="128">
        <f t="shared" si="6"/>
        <v>312</v>
      </c>
      <c r="L30" s="129">
        <f t="shared" si="8"/>
        <v>494</v>
      </c>
      <c r="O30" s="126"/>
    </row>
    <row r="31" ht="30" customHeight="1" spans="1:16">
      <c r="A31" s="74" t="s">
        <v>50</v>
      </c>
      <c r="B31" s="76">
        <f>86142/12*1.4</f>
        <v>10049.9</v>
      </c>
      <c r="C31" s="77">
        <f t="shared" si="3"/>
        <v>2009.98</v>
      </c>
      <c r="D31" s="77">
        <f t="shared" si="7"/>
        <v>24119.76</v>
      </c>
      <c r="E31" s="75" t="s">
        <v>50</v>
      </c>
      <c r="F31" s="78">
        <f>TRUNC(87865/12*1.4,1)</f>
        <v>10250.9</v>
      </c>
      <c r="G31" s="79">
        <f t="shared" si="2"/>
        <v>2050.18</v>
      </c>
      <c r="H31" s="79">
        <f t="shared" si="4"/>
        <v>24602.16</v>
      </c>
      <c r="I31" s="133" t="s">
        <v>51</v>
      </c>
      <c r="J31" s="133" t="s">
        <v>52</v>
      </c>
      <c r="K31" s="133" t="s">
        <v>53</v>
      </c>
      <c r="L31" s="133" t="s">
        <v>54</v>
      </c>
      <c r="O31" s="126"/>
      <c r="P31" s="1"/>
    </row>
    <row r="32" s="1" customFormat="1" ht="30" customHeight="1" spans="1:12">
      <c r="A32" s="74" t="s">
        <v>55</v>
      </c>
      <c r="B32" s="76">
        <f>86142/12*1.6</f>
        <v>11485.6</v>
      </c>
      <c r="C32" s="77">
        <f t="shared" si="3"/>
        <v>2297.12</v>
      </c>
      <c r="D32" s="77">
        <f t="shared" si="7"/>
        <v>27565.44</v>
      </c>
      <c r="E32" s="75" t="s">
        <v>55</v>
      </c>
      <c r="F32" s="78">
        <f>TRUNC(87865/12*1.6,1)</f>
        <v>11715.3</v>
      </c>
      <c r="G32" s="79">
        <f t="shared" si="2"/>
        <v>2343.06</v>
      </c>
      <c r="H32" s="79">
        <f t="shared" si="4"/>
        <v>28116.72</v>
      </c>
      <c r="I32" s="109" t="s">
        <v>56</v>
      </c>
      <c r="J32" s="134">
        <v>94937</v>
      </c>
      <c r="K32" s="134">
        <v>51214</v>
      </c>
      <c r="L32" s="134">
        <v>86142</v>
      </c>
    </row>
    <row r="33" ht="30" customHeight="1" spans="1:16">
      <c r="A33" s="74" t="s">
        <v>57</v>
      </c>
      <c r="B33" s="76">
        <f>86142/12*1.8</f>
        <v>12921.3</v>
      </c>
      <c r="C33" s="77">
        <f t="shared" si="3"/>
        <v>2584.26</v>
      </c>
      <c r="D33" s="77">
        <f t="shared" si="7"/>
        <v>31011.12</v>
      </c>
      <c r="E33" s="75" t="s">
        <v>57</v>
      </c>
      <c r="F33" s="78">
        <f>TRUNC(87865/12*1.8,1)</f>
        <v>13179.7</v>
      </c>
      <c r="G33" s="79">
        <f t="shared" si="2"/>
        <v>2635.94</v>
      </c>
      <c r="H33" s="79">
        <f t="shared" si="4"/>
        <v>31631.28</v>
      </c>
      <c r="J33" s="135"/>
      <c r="K33" s="135"/>
      <c r="L33" s="136"/>
      <c r="P33"/>
    </row>
    <row r="34" ht="30" customHeight="1" spans="1:12">
      <c r="A34" s="74" t="s">
        <v>58</v>
      </c>
      <c r="B34" s="76">
        <f>86142/12*2</f>
        <v>14357</v>
      </c>
      <c r="C34" s="77">
        <f t="shared" si="3"/>
        <v>2871.4</v>
      </c>
      <c r="D34" s="77">
        <f t="shared" si="7"/>
        <v>34456.8</v>
      </c>
      <c r="E34" s="75" t="s">
        <v>58</v>
      </c>
      <c r="F34" s="78">
        <f>TRUNC(87865/12*2,1)</f>
        <v>14644.1</v>
      </c>
      <c r="G34" s="79">
        <f t="shared" si="2"/>
        <v>2928.82</v>
      </c>
      <c r="H34" s="79">
        <f t="shared" si="4"/>
        <v>35145.84</v>
      </c>
      <c r="J34" s="137"/>
      <c r="K34" s="138"/>
      <c r="L34" s="138"/>
    </row>
    <row r="35" ht="30" customHeight="1" spans="1:12">
      <c r="A35" s="74" t="s">
        <v>59</v>
      </c>
      <c r="B35" s="76">
        <f>86142/12*2.2</f>
        <v>15792.7</v>
      </c>
      <c r="C35" s="77">
        <f t="shared" si="3"/>
        <v>3158.54</v>
      </c>
      <c r="D35" s="77">
        <f t="shared" si="7"/>
        <v>37902.48</v>
      </c>
      <c r="E35" s="75" t="s">
        <v>59</v>
      </c>
      <c r="F35" s="78">
        <f>TRUNC(87865/12*2.2,1)</f>
        <v>16108.5</v>
      </c>
      <c r="G35" s="79">
        <f t="shared" si="2"/>
        <v>3221.7</v>
      </c>
      <c r="H35" s="79">
        <f t="shared" si="4"/>
        <v>38660.4</v>
      </c>
      <c r="J35" s="135"/>
      <c r="K35" s="135"/>
      <c r="L35" s="136"/>
    </row>
    <row r="36" ht="30" customHeight="1" spans="1:12">
      <c r="A36" s="74" t="s">
        <v>60</v>
      </c>
      <c r="B36" s="76">
        <f>86142/12*2.4</f>
        <v>17228.4</v>
      </c>
      <c r="C36" s="77">
        <f t="shared" si="3"/>
        <v>3445.68</v>
      </c>
      <c r="D36" s="77">
        <f t="shared" si="7"/>
        <v>41348.16</v>
      </c>
      <c r="E36" s="75" t="s">
        <v>60</v>
      </c>
      <c r="F36" s="78">
        <f>TRUNC(87865/12*2.4,1)</f>
        <v>17573</v>
      </c>
      <c r="G36" s="79">
        <f t="shared" si="2"/>
        <v>3514.6</v>
      </c>
      <c r="H36" s="79">
        <f t="shared" si="4"/>
        <v>42175.2</v>
      </c>
      <c r="J36" s="135"/>
      <c r="K36" s="135"/>
      <c r="L36" s="136"/>
    </row>
    <row r="37" ht="30" customHeight="1" spans="1:12">
      <c r="A37" s="74" t="s">
        <v>61</v>
      </c>
      <c r="B37" s="76">
        <f>86142/12*2.6</f>
        <v>18664.1</v>
      </c>
      <c r="C37" s="77">
        <f t="shared" si="3"/>
        <v>3732.82</v>
      </c>
      <c r="D37" s="77">
        <f t="shared" si="7"/>
        <v>44793.84</v>
      </c>
      <c r="E37" s="75" t="s">
        <v>61</v>
      </c>
      <c r="F37" s="78">
        <f>TRUNC(87865/12*2.6,1)</f>
        <v>19037.4</v>
      </c>
      <c r="G37" s="79">
        <f t="shared" si="2"/>
        <v>3807.48</v>
      </c>
      <c r="H37" s="79">
        <f t="shared" si="4"/>
        <v>45689.76</v>
      </c>
      <c r="J37" s="135"/>
      <c r="K37" s="135"/>
      <c r="L37" s="136"/>
    </row>
    <row r="38" ht="30" customHeight="1" spans="1:12">
      <c r="A38" s="74" t="s">
        <v>62</v>
      </c>
      <c r="B38" s="76">
        <f>86142/12*2.8</f>
        <v>20099.8</v>
      </c>
      <c r="C38" s="77">
        <f t="shared" si="3"/>
        <v>4019.96</v>
      </c>
      <c r="D38" s="77">
        <f t="shared" si="7"/>
        <v>48239.52</v>
      </c>
      <c r="E38" s="75" t="s">
        <v>62</v>
      </c>
      <c r="F38" s="78">
        <f>TRUNC(87865/12*2.8,1)</f>
        <v>20501.8</v>
      </c>
      <c r="G38" s="79">
        <f t="shared" si="2"/>
        <v>4100.36</v>
      </c>
      <c r="H38" s="79">
        <f t="shared" si="4"/>
        <v>49204.32</v>
      </c>
      <c r="J38" s="135"/>
      <c r="K38" s="135"/>
      <c r="L38" s="136"/>
    </row>
    <row r="39" ht="30" customHeight="1" spans="1:12">
      <c r="A39" s="74" t="s">
        <v>63</v>
      </c>
      <c r="B39" s="76">
        <f>86142/12*3</f>
        <v>21535.5</v>
      </c>
      <c r="C39" s="77">
        <f t="shared" si="3"/>
        <v>4307.1</v>
      </c>
      <c r="D39" s="77">
        <f t="shared" si="7"/>
        <v>51685.2</v>
      </c>
      <c r="E39" s="75" t="s">
        <v>63</v>
      </c>
      <c r="F39" s="78">
        <f>TRUNC(87865/12*3,1)</f>
        <v>21966.2</v>
      </c>
      <c r="G39" s="79">
        <f t="shared" si="2"/>
        <v>4393.24</v>
      </c>
      <c r="H39" s="79">
        <f t="shared" si="4"/>
        <v>52718.88</v>
      </c>
      <c r="J39" s="139" t="s">
        <v>64</v>
      </c>
      <c r="K39" s="139"/>
      <c r="L39" s="136"/>
    </row>
    <row r="40" ht="15" customHeight="1" spans="1:12">
      <c r="A40" s="81"/>
      <c r="E40" s="81"/>
      <c r="F40" s="81"/>
      <c r="G40" s="81"/>
      <c r="H40" s="81"/>
      <c r="I40" s="81"/>
      <c r="J40" s="81"/>
      <c r="K40" s="81"/>
      <c r="L40" s="81"/>
    </row>
    <row r="41" ht="60" customHeight="1" spans="1:12">
      <c r="A41" s="82" t="s">
        <v>65</v>
      </c>
      <c r="B41" s="83"/>
      <c r="C41" s="83"/>
      <c r="D41" s="83"/>
      <c r="E41" s="83"/>
      <c r="F41" s="83"/>
      <c r="G41" s="83"/>
      <c r="H41" s="83"/>
      <c r="I41" s="83"/>
      <c r="J41" s="83"/>
      <c r="K41" s="140" t="s">
        <v>66</v>
      </c>
      <c r="L41" s="140"/>
    </row>
    <row r="42" ht="30" customHeight="1" spans="1:12">
      <c r="A42" s="82" t="s">
        <v>67</v>
      </c>
      <c r="B42" s="82"/>
      <c r="C42" s="82"/>
      <c r="D42" s="82"/>
      <c r="E42" s="82"/>
      <c r="F42" s="82"/>
      <c r="G42" s="82"/>
      <c r="H42" s="82"/>
      <c r="I42" s="82"/>
      <c r="J42" s="82"/>
      <c r="K42" s="140" t="s">
        <v>68</v>
      </c>
      <c r="L42" s="140"/>
    </row>
    <row r="43" ht="30" customHeight="1" spans="1:1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140"/>
      <c r="L43" s="140"/>
    </row>
    <row r="44" ht="30" customHeight="1" spans="1:12">
      <c r="A44" s="82" t="s">
        <v>69</v>
      </c>
      <c r="B44" s="84"/>
      <c r="C44" s="84"/>
      <c r="D44" s="84"/>
      <c r="E44" s="84"/>
      <c r="F44" s="84"/>
      <c r="G44" s="84"/>
      <c r="H44" s="84"/>
      <c r="I44" s="84"/>
      <c r="J44" s="84"/>
      <c r="K44" s="93" t="s">
        <v>70</v>
      </c>
      <c r="L44" s="93"/>
    </row>
    <row r="45" ht="30" customHeight="1" spans="1:12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93"/>
      <c r="L45" s="93"/>
    </row>
    <row r="46" ht="30" customHeight="1" spans="1:12">
      <c r="A46" s="82" t="s">
        <v>71</v>
      </c>
      <c r="B46" s="85"/>
      <c r="C46" s="85"/>
      <c r="D46" s="85"/>
      <c r="E46" s="85"/>
      <c r="F46" s="85"/>
      <c r="G46" s="85"/>
      <c r="H46" s="85"/>
      <c r="I46" s="85"/>
      <c r="J46" s="85"/>
      <c r="K46" s="140" t="s">
        <v>72</v>
      </c>
      <c r="L46" s="140"/>
    </row>
    <row r="47" ht="30" customHeight="1" spans="1:1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140"/>
      <c r="L47" s="140"/>
    </row>
    <row r="48" ht="30" customHeight="1" spans="1:12">
      <c r="A48" s="86" t="s">
        <v>73</v>
      </c>
      <c r="B48" s="86"/>
      <c r="C48" s="86"/>
      <c r="K48" s="141" t="s">
        <v>74</v>
      </c>
      <c r="L48" s="142"/>
    </row>
    <row r="49" ht="30" customHeight="1" spans="1:12">
      <c r="A49" s="87" t="s">
        <v>75</v>
      </c>
      <c r="B49" s="87" t="s">
        <v>76</v>
      </c>
      <c r="C49" s="87" t="s">
        <v>77</v>
      </c>
      <c r="D49" s="87" t="s">
        <v>78</v>
      </c>
      <c r="E49" s="87" t="s">
        <v>79</v>
      </c>
      <c r="F49" s="87" t="s">
        <v>80</v>
      </c>
      <c r="G49" s="87" t="s">
        <v>81</v>
      </c>
      <c r="H49" s="87" t="s">
        <v>82</v>
      </c>
      <c r="I49" s="87" t="s">
        <v>83</v>
      </c>
      <c r="J49" s="87" t="s">
        <v>84</v>
      </c>
      <c r="K49" s="143" t="s">
        <v>85</v>
      </c>
      <c r="L49" s="144"/>
    </row>
    <row r="50" ht="20.25" customHeight="1" spans="1:1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ht="20.25" spans="1:1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</row>
    <row r="52" ht="20.25" spans="1:1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ht="20.25" spans="1:1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ht="20.25" spans="1:12">
      <c r="A54" s="81"/>
      <c r="B54" s="81"/>
      <c r="C54" s="81"/>
      <c r="D54" s="81"/>
      <c r="E54" s="81"/>
      <c r="F54" s="81"/>
      <c r="G54" s="81"/>
      <c r="H54" s="89"/>
      <c r="I54" s="81"/>
      <c r="J54" s="81"/>
      <c r="K54" s="81"/>
      <c r="L54" s="81"/>
    </row>
    <row r="55" ht="20.25" spans="1:1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</row>
    <row r="56" ht="20.25" spans="1:1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</row>
    <row r="57" ht="20.25" spans="1:1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</row>
    <row r="58" ht="20.25" spans="1:1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</row>
    <row r="59" ht="20.25" spans="1:1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</row>
    <row r="60" ht="20.25" spans="1:1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ht="20.25" spans="1:1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ht="20.25" spans="1:1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ht="20.25" spans="1:1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ht="20.25" spans="1:1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ht="20.25" spans="1:1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ht="20.25" spans="1:1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ht="20.25" spans="1:1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ht="20.25" spans="1:1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ht="20.25" spans="1:1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  <row r="70" ht="20.25" spans="1:1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ht="20.25" spans="1:1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  <row r="72" ht="20.25" spans="1:1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</row>
    <row r="73" ht="20.25" spans="1:1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</row>
    <row r="74" ht="20.25" spans="1:1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</row>
    <row r="75" ht="20.25" spans="1:1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ht="20.25" spans="1:1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ht="20.25" spans="1:1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</row>
    <row r="78" ht="20.25" spans="1:1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</row>
    <row r="79" ht="20.25" spans="1:12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</row>
    <row r="80" ht="20.25" spans="1:1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</row>
    <row r="81" ht="20.25" spans="1:1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</row>
    <row r="82" ht="20.25" spans="1:1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</row>
    <row r="83" ht="20.25" spans="1:1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</row>
    <row r="84" ht="20.25" spans="1:1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</row>
    <row r="85" ht="20.25" spans="1:1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</row>
    <row r="86" ht="20.25" spans="1:1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</row>
    <row r="87" ht="20.25" spans="1:1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</row>
    <row r="88" ht="20.25" spans="1:1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</row>
    <row r="89" ht="20.25" spans="1:1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</row>
    <row r="90" ht="20.25" spans="1:1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</row>
    <row r="91" ht="20.25" spans="1:1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</row>
    <row r="92" ht="20.25" spans="1:1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</row>
    <row r="93" ht="20.25" spans="1:1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</row>
    <row r="94" ht="20.25" spans="1:12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</row>
    <row r="95" ht="20.25" spans="1:12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</row>
    <row r="96" ht="20.25" spans="1:12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ht="20.25" spans="1:12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</row>
    <row r="98" ht="20.25" spans="1:1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</row>
    <row r="99" ht="20.25" spans="1:12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</row>
    <row r="100" ht="20.25" spans="1:12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</row>
    <row r="101" ht="20.25" spans="1:1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</row>
    <row r="102" ht="20.25" spans="1:1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</row>
    <row r="103" ht="20.25" spans="1:1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</row>
    <row r="104" ht="20.25" spans="1:1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</row>
    <row r="105" ht="20.25" spans="1:1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</row>
    <row r="106" ht="20.25" spans="1:1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</row>
    <row r="107" ht="20.25" spans="1:1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</row>
    <row r="108" ht="20.25" spans="1:1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</row>
    <row r="109" ht="20.25" spans="1:12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</row>
    <row r="110" ht="20.25" spans="1:1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</row>
    <row r="111" ht="20.25" spans="1:1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</row>
    <row r="112" ht="20.25" spans="1:1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</row>
    <row r="113" ht="20.25" spans="1:1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</row>
    <row r="114" ht="20.25" spans="1:1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</row>
    <row r="115" ht="20.25" spans="1:1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</row>
    <row r="116" ht="20.25" spans="1:1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</row>
    <row r="117" ht="20.25" spans="1:1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</row>
    <row r="118" ht="20.25" spans="1:1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</row>
    <row r="119" ht="20.25" spans="1:1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</row>
    <row r="120" ht="20.25" spans="1:1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</row>
    <row r="121" ht="20.25" spans="1:1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</row>
    <row r="122" ht="20.25" spans="1:1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</row>
    <row r="123" ht="20.25" spans="1:1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</row>
    <row r="124" ht="20.25" spans="1:1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</row>
    <row r="125" ht="20.25" spans="1:1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</row>
    <row r="126" ht="20.25" spans="1:1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</row>
    <row r="127" ht="20.25" spans="1:1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</row>
    <row r="128" ht="20.25" spans="1:1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</row>
    <row r="129" ht="20.25" spans="1:1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</row>
    <row r="130" ht="20.25" spans="1:1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</row>
    <row r="131" ht="20.25" spans="1:1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</row>
    <row r="132" ht="20.25" spans="1:1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</row>
    <row r="133" ht="20.25" spans="1:1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</row>
    <row r="134" ht="20.25" spans="1:1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</row>
    <row r="135" ht="20.25" spans="1:1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ht="20.25" spans="1:1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ht="20.25" spans="1:1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</row>
    <row r="138" ht="20.25" spans="1:1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</row>
    <row r="139" ht="20.25" spans="1:12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</row>
    <row r="140" ht="20.25" spans="1:12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</row>
    <row r="141" ht="20.25" spans="1:12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ht="20.25" spans="1:1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ht="20.25" spans="1:12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</row>
    <row r="144" ht="20.25" spans="1:12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</row>
    <row r="145" ht="20.25" spans="1:12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</row>
    <row r="146" ht="20.25" spans="1:12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ht="20.25" spans="1:12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ht="20.25" spans="1:1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</row>
    <row r="149" ht="20.25" spans="1:12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</row>
    <row r="150" ht="20.25" spans="1:12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</row>
    <row r="151" ht="20.25" spans="1:12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</row>
    <row r="152" ht="20.25" spans="1:1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</row>
    <row r="153" ht="20.25" spans="1:12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</row>
    <row r="154" ht="20.25" spans="1:12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</row>
    <row r="155" ht="20.25" spans="1:12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</row>
    <row r="156" ht="20.25" spans="1:12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</row>
    <row r="157" ht="20.25" spans="1:12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</row>
    <row r="158" ht="20.25" spans="1:12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</row>
    <row r="159" ht="20.25" spans="1:12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</row>
    <row r="160" ht="20.25" spans="1:12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</row>
    <row r="161" ht="20.25" spans="1:12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</row>
    <row r="162" ht="20.25" spans="1:1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</row>
    <row r="163" ht="20.25" spans="1:12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</row>
    <row r="164" ht="20.25" spans="1:12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</row>
    <row r="165" ht="20.25" spans="1:12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</row>
    <row r="166" ht="20.25" spans="1:1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</row>
    <row r="167" ht="20.25" spans="1:1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</row>
    <row r="168" ht="20.25" spans="1:1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</row>
    <row r="169" ht="20.25" spans="1:12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</row>
    <row r="170" ht="20.25" spans="1:12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</row>
    <row r="171" ht="20.25" spans="1:12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</row>
    <row r="172" ht="20.25" spans="1:1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</row>
    <row r="173" ht="20.25" spans="1:12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</row>
    <row r="174" ht="20.25" spans="1:12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</row>
    <row r="175" ht="20.25" spans="1:12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</row>
    <row r="176" ht="20.25" spans="1:12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</row>
    <row r="177" ht="20.25" spans="1:12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</row>
    <row r="178" ht="20.25" spans="1:12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</row>
    <row r="179" ht="20.25" spans="1:12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</row>
    <row r="180" ht="20.25" spans="1:12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</row>
    <row r="181" ht="20.25" spans="1:12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</row>
    <row r="182" ht="20.25" spans="1:1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</row>
    <row r="183" ht="20.25" spans="1:1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</row>
    <row r="184" ht="20.25" spans="1:12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</row>
    <row r="185" ht="20.25" spans="1:12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</row>
    <row r="186" ht="20.25" spans="1:12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</row>
    <row r="187" ht="20.25" spans="1:12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</row>
    <row r="188" ht="20.25" spans="1:12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</row>
    <row r="189" ht="20.25" spans="1:12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</row>
    <row r="190" ht="20.25" spans="1:1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</row>
    <row r="191" ht="20.25" spans="1:12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</row>
    <row r="192" ht="20.25" spans="1:1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</row>
    <row r="193" ht="20.25" spans="1:12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</row>
    <row r="194" ht="20.25" spans="1:12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</row>
    <row r="195" ht="20.25" spans="1:12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</row>
  </sheetData>
  <protectedRanges>
    <protectedRange sqref="B17" name="养老缴纳" securityDescriptor=""/>
    <protectedRange sqref="F17" name="台账工伤费率" securityDescriptor=""/>
    <protectedRange sqref="A21" name="缴费基数" securityDescriptor=""/>
    <protectedRange sqref="E9" name="工伤费率" securityDescriptor=""/>
    <protectedRange sqref="J25:K25" name="公积金" securityDescriptor=""/>
    <protectedRange sqref="E7" name="个体企业" securityDescriptor=""/>
  </protectedRanges>
  <mergeCells count="37">
    <mergeCell ref="C5:D5"/>
    <mergeCell ref="E5:F5"/>
    <mergeCell ref="G5:H5"/>
    <mergeCell ref="I5:J5"/>
    <mergeCell ref="K5:L5"/>
    <mergeCell ref="E7:F7"/>
    <mergeCell ref="I7:J7"/>
    <mergeCell ref="E8:F8"/>
    <mergeCell ref="I8:J8"/>
    <mergeCell ref="E9:F9"/>
    <mergeCell ref="I9:L9"/>
    <mergeCell ref="E10:F10"/>
    <mergeCell ref="I10:J10"/>
    <mergeCell ref="E11:J11"/>
    <mergeCell ref="C12:J12"/>
    <mergeCell ref="K12:L12"/>
    <mergeCell ref="B14:D14"/>
    <mergeCell ref="A22:K22"/>
    <mergeCell ref="A24:D24"/>
    <mergeCell ref="E24:H24"/>
    <mergeCell ref="J34:L34"/>
    <mergeCell ref="J39:K39"/>
    <mergeCell ref="A41:J41"/>
    <mergeCell ref="K41:L41"/>
    <mergeCell ref="A48:C48"/>
    <mergeCell ref="K48:L48"/>
    <mergeCell ref="K49:L49"/>
    <mergeCell ref="A7:A9"/>
    <mergeCell ref="A10:A12"/>
    <mergeCell ref="C1:J4"/>
    <mergeCell ref="A5:B6"/>
    <mergeCell ref="A44:J45"/>
    <mergeCell ref="K44:L45"/>
    <mergeCell ref="A46:J47"/>
    <mergeCell ref="K46:L47"/>
    <mergeCell ref="A42:J43"/>
    <mergeCell ref="K42:L43"/>
  </mergeCells>
  <dataValidations count="3">
    <dataValidation type="list" allowBlank="1" showInputMessage="1" showErrorMessage="1" sqref="E7:F7">
      <formula1>"0.12,0.16"</formula1>
    </dataValidation>
    <dataValidation type="list" allowBlank="1" showInputMessage="1" showErrorMessage="1" sqref="B17">
      <formula1>"12%,16%"</formula1>
    </dataValidation>
    <dataValidation type="list" allowBlank="1" showInputMessage="1" showErrorMessage="1" sqref="J25:K25">
      <formula1>"7%,8%,9%,10%,11%,12%"</formula1>
    </dataValidation>
  </dataValidations>
  <hyperlinks>
    <hyperlink ref="K49" r:id="rId5" display="http://ccxb.net/?id=280"/>
    <hyperlink ref="A49" r:id="rId6" display="技能补贴查询"/>
    <hyperlink ref="B49" r:id="rId7" display="社保补缴计算器 "/>
    <hyperlink ref="C49" r:id="rId8" display="失业保险金计算"/>
    <hyperlink ref="D49" r:id="rId9" display="生育津贴计算器"/>
    <hyperlink ref="E49" r:id="rId10" display="医疗保险补缴计算器"/>
    <hyperlink ref="F49" r:id="rId11" display="常用业务 通讯录"/>
    <hyperlink ref="G49" r:id="rId12" display="医保缴费计算"/>
    <hyperlink ref="H49" r:id="rId13" display="延迟退休计算器"/>
    <hyperlink ref="I49" r:id="rId14" display="养老金测算工具"/>
    <hyperlink ref="J49" r:id="rId15" display="经济补偿金计算器"/>
    <hyperlink ref="A48:C48" r:id="rId16" display="吉林省社保/医保增员与减员操作指南（个人意见）"/>
  </hyperlinks>
  <printOptions horizontalCentered="1"/>
  <pageMargins left="0.251388888888889" right="0.251388888888889" top="0.751388888888889" bottom="0.751388888888889" header="0.297916666666667" footer="0.297916666666667"/>
  <pageSetup paperSize="9" scale="50" fitToHeight="0" orientation="portrait" horizontalDpi="1200"/>
  <headerFooter>
    <oddHeader>&amp;L&amp;"微软雅黑,常规"&amp;12吉林省最大的企业职工社会保险经办人交流平台
&amp;R&amp;"微软雅黑,常规"&amp;12 交流群 微信： 35515105 【免费群】</oddHeader>
    <oddFooter>&amp;C&amp;G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{Q�4�~"   r a n g e C r e a t o r = " "   o t h e r s A c c e s s P e r m i s s i o n = " e d i t " / > < a r r U s e r I d   t i t l e = " �S&��]$O9��s"   r a n g e C r e a t o r = " "   o t h e r s A c c e s s P e r m i s s i o n = " e d i t " / > < a r r U s e r I d   t i t l e = " 49��Wpe"   r a n g e C r e a t o r = " "   o t h e r s A c c e s s P e r m i s s i o n = " e d i t " / > < a r r U s e r I d   t i t l e = " �]$O9��s"   r a n g e C r e a t o r = " "   o t h e r s A c c e s s P e r m i s s i o n = " e d i t " / > < a r r U s e r I d   t i t l e = " lQ�yё"   r a n g e C r e a t o r = " "   o t h e r s A c c e s s P e r m i s s i o n = " e d i t " / > < a r r U s e r I d   t i t l e = " *NSOON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zhangbin</cp:lastModifiedBy>
  <dcterms:created xsi:type="dcterms:W3CDTF">2023-04-14T04:25:00Z</dcterms:created>
  <cp:lastPrinted>2025-01-02T07:37:00Z</cp:lastPrinted>
  <dcterms:modified xsi:type="dcterms:W3CDTF">2025-09-22T12:29:37Z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1C9AFB7F5C2B4359A44E19A2A657A61F_13</vt:lpwstr>
  </property>
  <property fmtid="{D5CDD505-2E9C-101B-9397-08002B2CF9AE}" pid="3" name="KSOProductBuildVer">
    <vt:lpwstr>2052-...</vt:lpwstr>
  </property>
</Properties>
</file>